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<sst xmlns="http://schemas.openxmlformats.org/spreadsheetml/2006/main" count="544" uniqueCount="228">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</sst>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5" sqref="F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227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86151.79000000001</v>
      </c>
      <c r="G8" s="18">
        <f aca="true" t="shared" si="0" ref="G8:G42">F8-E8</f>
        <v>7043.790000000008</v>
      </c>
      <c r="H8" s="45">
        <f>F8/E8*100</f>
        <v>108.9040172928149</v>
      </c>
      <c r="I8" s="31">
        <f aca="true" t="shared" si="1" ref="I8:I42">F8-D8</f>
        <v>-431277.20999999996</v>
      </c>
      <c r="J8" s="31">
        <f aca="true" t="shared" si="2" ref="J8:J14">F8/D8*100</f>
        <v>16.6499732330426</v>
      </c>
      <c r="K8" s="18">
        <f>K10+K19+K30+K33+K34+K42</f>
        <v>13816.498000000003</v>
      </c>
      <c r="L8" s="18"/>
      <c r="M8" s="18">
        <f>M10+M19+M30+M33+M34+M42</f>
        <v>44056.1</v>
      </c>
      <c r="N8" s="18">
        <f>N10+N19+N30+N33+N34+N42</f>
        <v>48437.473999999995</v>
      </c>
      <c r="O8" s="31">
        <f aca="true" t="shared" si="3" ref="O8:O45">N8-M8</f>
        <v>4381.373999999996</v>
      </c>
      <c r="P8" s="31">
        <f>F8/M8*100</f>
        <v>195.55019622708323</v>
      </c>
      <c r="Q8" s="31">
        <f>N8-33748.16</f>
        <v>14689.313999999991</v>
      </c>
      <c r="R8" s="125">
        <f>N8/33748.16</f>
        <v>1.4352626632088976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47026.99</v>
      </c>
      <c r="G9" s="18">
        <f t="shared" si="0"/>
        <v>47026.99</v>
      </c>
      <c r="H9" s="16"/>
      <c r="I9" s="50">
        <f t="shared" si="1"/>
        <v>-265663.01</v>
      </c>
      <c r="J9" s="50">
        <f t="shared" si="2"/>
        <v>15.039492788384662</v>
      </c>
      <c r="K9" s="50"/>
      <c r="L9" s="50"/>
      <c r="M9" s="16">
        <f>M10+M17</f>
        <v>23924</v>
      </c>
      <c r="N9" s="16">
        <f>N10+N17</f>
        <v>23817.613999999994</v>
      </c>
      <c r="O9" s="31">
        <f t="shared" si="3"/>
        <v>-106.38600000000588</v>
      </c>
      <c r="P9" s="50">
        <f>F9/M9*100</f>
        <v>196.56825781641865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47026.99</v>
      </c>
      <c r="G10" s="43">
        <f t="shared" si="0"/>
        <v>2097.5899999999965</v>
      </c>
      <c r="H10" s="35">
        <f aca="true" t="shared" si="4" ref="H10:H42">F10/E10*100</f>
        <v>104.66863568175849</v>
      </c>
      <c r="I10" s="50">
        <f t="shared" si="1"/>
        <v>-265663.01</v>
      </c>
      <c r="J10" s="50">
        <f t="shared" si="2"/>
        <v>15.039492788384662</v>
      </c>
      <c r="K10" s="132">
        <f>F10-54745.99/75*60</f>
        <v>3230.198000000004</v>
      </c>
      <c r="L10" s="132">
        <f>F10/(54745.99/75*60)*100</f>
        <v>107.37542146922543</v>
      </c>
      <c r="M10" s="35">
        <f>E10-'січень-2'!E10</f>
        <v>23924</v>
      </c>
      <c r="N10" s="35">
        <f>F10-'січень-2'!F10</f>
        <v>23817.613999999994</v>
      </c>
      <c r="O10" s="47">
        <f t="shared" si="3"/>
        <v>-106.38600000000588</v>
      </c>
      <c r="P10" s="50">
        <f aca="true" t="shared" si="5" ref="P10:P42">N10/M10*100</f>
        <v>99.55531683664937</v>
      </c>
      <c r="Q10" s="132">
        <f>N10-26568.11</f>
        <v>-2750.4960000000065</v>
      </c>
      <c r="R10" s="133">
        <f>N10/26568.11</f>
        <v>0.8964737800317747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-496.79</v>
      </c>
      <c r="G19" s="43">
        <f t="shared" si="0"/>
        <v>-496.79</v>
      </c>
      <c r="H19" s="35"/>
      <c r="I19" s="50">
        <f t="shared" si="1"/>
        <v>-996.79</v>
      </c>
      <c r="J19" s="50">
        <f aca="true" t="shared" si="6" ref="J19:J30">F19/D19*100</f>
        <v>-99.358</v>
      </c>
      <c r="K19" s="50">
        <f>F19-739.11</f>
        <v>-1235.9</v>
      </c>
      <c r="L19" s="50">
        <f>F19/739.11*100</f>
        <v>-67.21462299251803</v>
      </c>
      <c r="M19" s="35">
        <f>E19-'січень-2'!E19</f>
        <v>0</v>
      </c>
      <c r="N19" s="35">
        <f>F19-'січень-2'!F19</f>
        <v>69.55000000000001</v>
      </c>
      <c r="O19" s="47">
        <f t="shared" si="3"/>
        <v>69.55000000000001</v>
      </c>
      <c r="P19" s="50"/>
      <c r="Q19" s="50">
        <f>N19-358.81</f>
        <v>-289.26</v>
      </c>
      <c r="R19" s="126">
        <f>N19/358.81</f>
        <v>0.19383517739193448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-402.39</v>
      </c>
      <c r="G29" s="135">
        <f t="shared" si="0"/>
        <v>-402.39</v>
      </c>
      <c r="H29" s="137"/>
      <c r="I29" s="136">
        <f t="shared" si="1"/>
        <v>-402.39</v>
      </c>
      <c r="J29" s="136"/>
      <c r="K29" s="136">
        <f>F29-717.64</f>
        <v>-1120.03</v>
      </c>
      <c r="L29" s="136">
        <f>F29/717.64*100</f>
        <v>-56.07128922579566</v>
      </c>
      <c r="M29" s="137">
        <f>E29-'січень-2'!E29</f>
        <v>0</v>
      </c>
      <c r="N29" s="137">
        <f>F29-'січень-2'!F29</f>
        <v>35.960000000000036</v>
      </c>
      <c r="O29" s="138">
        <f t="shared" si="3"/>
        <v>35.960000000000036</v>
      </c>
      <c r="P29" s="50"/>
      <c r="Q29" s="136">
        <f>N29-358.81</f>
        <v>-322.84999999999997</v>
      </c>
      <c r="R29" s="141">
        <f>N29/358.79</f>
        <v>0.1002257588004126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2267.53</v>
      </c>
      <c r="G33" s="43">
        <f t="shared" si="0"/>
        <v>-452.4699999999998</v>
      </c>
      <c r="H33" s="35">
        <f t="shared" si="4"/>
        <v>83.36507352941177</v>
      </c>
      <c r="I33" s="50">
        <f t="shared" si="1"/>
        <v>-27682.47</v>
      </c>
      <c r="J33" s="178">
        <f>F33/D33*100</f>
        <v>7.571051752921537</v>
      </c>
      <c r="K33" s="179">
        <f>F33-0</f>
        <v>2267.53</v>
      </c>
      <c r="L33" s="180"/>
      <c r="M33" s="35">
        <f>E33-'січень-2'!E33</f>
        <v>2720</v>
      </c>
      <c r="N33" s="35">
        <f>F33-'січень-2'!F33</f>
        <v>2267.53</v>
      </c>
      <c r="O33" s="47">
        <f t="shared" si="3"/>
        <v>-452.4699999999998</v>
      </c>
      <c r="P33" s="50">
        <f t="shared" si="5"/>
        <v>83.36507352941177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35339.100000000006</v>
      </c>
      <c r="G34" s="43">
        <f t="shared" si="0"/>
        <v>5878.600000000006</v>
      </c>
      <c r="H34" s="35">
        <f t="shared" si="4"/>
        <v>119.9541759304832</v>
      </c>
      <c r="I34" s="50">
        <f t="shared" si="1"/>
        <v>-131430.9</v>
      </c>
      <c r="J34" s="178">
        <f aca="true" t="shared" si="11" ref="J34:J42">F34/D34*100</f>
        <v>21.190322000359778</v>
      </c>
      <c r="K34" s="178">
        <f>K35+K39+K40+K41</f>
        <v>11027.259999999998</v>
      </c>
      <c r="L34" s="136"/>
      <c r="M34" s="35">
        <f>E34-'січень-2'!E34</f>
        <v>15424</v>
      </c>
      <c r="N34" s="35">
        <f>F34-'січень-2'!F34</f>
        <v>20276.83000000001</v>
      </c>
      <c r="O34" s="47">
        <f t="shared" si="3"/>
        <v>4852.830000000009</v>
      </c>
      <c r="P34" s="50">
        <f t="shared" si="5"/>
        <v>131.4628501037345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13727.800000000001</v>
      </c>
      <c r="G35" s="43">
        <f t="shared" si="0"/>
        <v>-26.69999999999891</v>
      </c>
      <c r="H35" s="35">
        <f t="shared" si="4"/>
        <v>99.80588171143991</v>
      </c>
      <c r="I35" s="50">
        <f t="shared" si="1"/>
        <v>-84472.2</v>
      </c>
      <c r="J35" s="178">
        <f t="shared" si="11"/>
        <v>13.979429735234216</v>
      </c>
      <c r="K35" s="178">
        <f>K36+K37+K38</f>
        <v>7380.200000000001</v>
      </c>
      <c r="L35" s="136"/>
      <c r="M35" s="35">
        <f>E35-'січень-2'!E35</f>
        <v>7220</v>
      </c>
      <c r="N35" s="35">
        <f>F35-'січень-2'!F35</f>
        <v>7145.120000000001</v>
      </c>
      <c r="O35" s="47">
        <f t="shared" si="3"/>
        <v>-74.8799999999992</v>
      </c>
      <c r="P35" s="50">
        <f t="shared" si="5"/>
        <v>98.9628808864266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197.02</v>
      </c>
      <c r="G36" s="135">
        <f t="shared" si="0"/>
        <v>92.52000000000001</v>
      </c>
      <c r="H36" s="137">
        <f t="shared" si="4"/>
        <v>188.53588516746413</v>
      </c>
      <c r="I36" s="136">
        <f t="shared" si="1"/>
        <v>-802.98</v>
      </c>
      <c r="J36" s="136">
        <f t="shared" si="11"/>
        <v>19.702</v>
      </c>
      <c r="K36" s="136">
        <f>F36-54.3</f>
        <v>142.72000000000003</v>
      </c>
      <c r="L36" s="136">
        <f>F36/54.3*100</f>
        <v>362.83609576427256</v>
      </c>
      <c r="M36" s="137">
        <f>E36-'січень-2'!E36</f>
        <v>20</v>
      </c>
      <c r="N36" s="137">
        <f>F36-'січень-2'!F36</f>
        <v>112.35000000000001</v>
      </c>
      <c r="O36" s="47">
        <f t="shared" si="3"/>
        <v>92.35000000000001</v>
      </c>
      <c r="P36" s="50">
        <f t="shared" si="5"/>
        <v>561.7500000000001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13524.53</v>
      </c>
      <c r="G38" s="135">
        <f t="shared" si="0"/>
        <v>-125.46999999999935</v>
      </c>
      <c r="H38" s="137">
        <f t="shared" si="4"/>
        <v>99.08080586080587</v>
      </c>
      <c r="I38" s="136">
        <f t="shared" si="1"/>
        <v>-82175.47</v>
      </c>
      <c r="J38" s="136">
        <f t="shared" si="11"/>
        <v>14.13221525600836</v>
      </c>
      <c r="K38" s="139">
        <f>F38-6293.3</f>
        <v>7231.2300000000005</v>
      </c>
      <c r="L38" s="139">
        <f>F38/6293.3*100</f>
        <v>214.90362766751946</v>
      </c>
      <c r="M38" s="137">
        <f>E38-'січень-2'!E38</f>
        <v>7200</v>
      </c>
      <c r="N38" s="137">
        <f>F38-'січень-2'!F38</f>
        <v>7026.52</v>
      </c>
      <c r="O38" s="47">
        <f t="shared" si="3"/>
        <v>-173.47999999999956</v>
      </c>
      <c r="P38" s="50">
        <f t="shared" si="5"/>
        <v>97.59055555555555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88.16</v>
      </c>
      <c r="G40" s="43">
        <f t="shared" si="0"/>
        <v>88.16</v>
      </c>
      <c r="H40" s="35"/>
      <c r="I40" s="50">
        <f t="shared" si="1"/>
        <v>88.16</v>
      </c>
      <c r="J40" s="136"/>
      <c r="K40" s="178">
        <f>F40-1067.46</f>
        <v>-979.3000000000001</v>
      </c>
      <c r="L40" s="178">
        <f>F40/1067.46*100</f>
        <v>8.258857474753151</v>
      </c>
      <c r="M40" s="35">
        <f>E40-'січень-2'!E40</f>
        <v>0</v>
      </c>
      <c r="N40" s="35">
        <f>F40-'січень-2'!F40</f>
        <v>-54.55000000000001</v>
      </c>
      <c r="O40" s="47">
        <f t="shared" si="3"/>
        <v>-54.55000000000001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21508.92</v>
      </c>
      <c r="G41" s="43">
        <f t="shared" si="0"/>
        <v>5808.919999999998</v>
      </c>
      <c r="H41" s="35">
        <f t="shared" si="4"/>
        <v>136.99949044585986</v>
      </c>
      <c r="I41" s="50">
        <f t="shared" si="1"/>
        <v>-46991.08</v>
      </c>
      <c r="J41" s="178">
        <f t="shared" si="11"/>
        <v>31.39988321167883</v>
      </c>
      <c r="K41" s="132">
        <f>F41-16881.34</f>
        <v>4627.579999999998</v>
      </c>
      <c r="L41" s="132">
        <f>F41/16881.34*100</f>
        <v>127.41239735708183</v>
      </c>
      <c r="M41" s="35">
        <f>E41-'січень-2'!E41</f>
        <v>8200</v>
      </c>
      <c r="N41" s="35">
        <f>F41-'січень-2'!F41</f>
        <v>13174.439999999999</v>
      </c>
      <c r="O41" s="47">
        <f t="shared" si="3"/>
        <v>4974.439999999999</v>
      </c>
      <c r="P41" s="50">
        <f t="shared" si="5"/>
        <v>160.66390243902438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1999.16</v>
      </c>
      <c r="G42" s="43">
        <f t="shared" si="0"/>
        <v>14.060000000000173</v>
      </c>
      <c r="H42" s="35">
        <f t="shared" si="4"/>
        <v>100.70827666112538</v>
      </c>
      <c r="I42" s="50">
        <f t="shared" si="1"/>
        <v>-5500.84</v>
      </c>
      <c r="J42" s="136">
        <f t="shared" si="11"/>
        <v>26.655466666666666</v>
      </c>
      <c r="K42" s="178">
        <f>F42-3484.64</f>
        <v>-1485.4799999999998</v>
      </c>
      <c r="L42" s="178">
        <f>F42/3484.64*100</f>
        <v>57.37063226043438</v>
      </c>
      <c r="M42" s="35">
        <f>E42-'січень-2'!E42</f>
        <v>1975.1</v>
      </c>
      <c r="N42" s="35">
        <f>F42-'січень-2'!F42</f>
        <v>1990.27</v>
      </c>
      <c r="O42" s="47">
        <f t="shared" si="3"/>
        <v>15.170000000000073</v>
      </c>
      <c r="P42" s="50">
        <f t="shared" si="5"/>
        <v>100.76806237658853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4618.16</v>
      </c>
      <c r="G48" s="44">
        <f aca="true" t="shared" si="12" ref="G48:G81">F48-E48</f>
        <v>2537.66</v>
      </c>
      <c r="H48" s="45">
        <f aca="true" t="shared" si="13" ref="H48:H59">F48/E48*100</f>
        <v>221.97356404710408</v>
      </c>
      <c r="I48" s="31">
        <f aca="true" t="shared" si="14" ref="I48:I81">F48-D48</f>
        <v>-7948.9400000000005</v>
      </c>
      <c r="J48" s="31">
        <f aca="true" t="shared" si="15" ref="J48:J66">F48/D48*100</f>
        <v>36.74801664664083</v>
      </c>
      <c r="K48" s="18">
        <f>K51+K60+K61+K62+K63+K71+K72+K73+K75+K79+K70</f>
        <v>2497.27</v>
      </c>
      <c r="L48" s="18"/>
      <c r="M48" s="18">
        <f>M51+M60+M61+M62+M63+M71+M72+M73+M75+M79+M70+M69</f>
        <v>1040.5</v>
      </c>
      <c r="N48" s="18">
        <f>N51+N60+N61+N62+N63+N71+N72+N73+N75+N79+N70+N69</f>
        <v>3595.7799999999997</v>
      </c>
      <c r="O48" s="49">
        <f aca="true" t="shared" si="16" ref="O48:O81">N48-M48</f>
        <v>2555.2799999999997</v>
      </c>
      <c r="P48" s="31">
        <f>N48/M48*100</f>
        <v>345.5819317635752</v>
      </c>
      <c r="Q48" s="31">
        <f>N48-1017.63</f>
        <v>2578.1499999999996</v>
      </c>
      <c r="R48" s="127">
        <f>N48/1017.63</f>
        <v>3.5334846653498815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1342.4</v>
      </c>
      <c r="G70" s="43">
        <f t="shared" si="12"/>
        <v>1342.4</v>
      </c>
      <c r="H70" s="35"/>
      <c r="I70" s="50">
        <f t="shared" si="14"/>
        <v>1342.4</v>
      </c>
      <c r="J70" s="50"/>
      <c r="K70" s="50">
        <f>F70-0</f>
        <v>1342.4</v>
      </c>
      <c r="L70" s="50"/>
      <c r="M70" s="35">
        <f>E691</f>
        <v>0</v>
      </c>
      <c r="N70" s="35">
        <f>F70-0</f>
        <v>1342.4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1357.31</v>
      </c>
      <c r="G72" s="43">
        <f t="shared" si="12"/>
        <v>1208.31</v>
      </c>
      <c r="H72" s="35">
        <f>F72/E72*100</f>
        <v>910.9463087248322</v>
      </c>
      <c r="I72" s="50">
        <f t="shared" si="14"/>
        <v>257.30999999999995</v>
      </c>
      <c r="J72" s="50">
        <v>90</v>
      </c>
      <c r="K72" s="50">
        <f>F72-126.54</f>
        <v>1230.77</v>
      </c>
      <c r="L72" s="50">
        <f>F72/126.54*100</f>
        <v>1072.6331594752646</v>
      </c>
      <c r="M72" s="35">
        <f>E72-'січень-2'!E70</f>
        <v>90</v>
      </c>
      <c r="N72" s="35">
        <f>F72-'січень-2'!F70</f>
        <v>1298.1</v>
      </c>
      <c r="O72" s="47">
        <f t="shared" si="16"/>
        <v>1208.1</v>
      </c>
      <c r="P72" s="50">
        <f>N72/M72*100</f>
        <v>1442.3333333333333</v>
      </c>
      <c r="Q72" s="50">
        <f>N72-79.51</f>
        <v>1218.59</v>
      </c>
      <c r="R72" s="126">
        <f>N72/79.51</f>
        <v>16.326248270657775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584.11</v>
      </c>
      <c r="G75" s="43">
        <f t="shared" si="12"/>
        <v>-65.88999999999999</v>
      </c>
      <c r="H75" s="35">
        <f>F75/E75*100</f>
        <v>89.86307692307692</v>
      </c>
      <c r="I75" s="50">
        <f t="shared" si="14"/>
        <v>-3615.89</v>
      </c>
      <c r="J75" s="50">
        <f>F75/D75*100</f>
        <v>13.90738095238095</v>
      </c>
      <c r="K75" s="50">
        <f>F75-652</f>
        <v>-67.88999999999999</v>
      </c>
      <c r="L75" s="50">
        <f>F75/652*100</f>
        <v>89.58742331288344</v>
      </c>
      <c r="M75" s="35">
        <f>E75-'січень-2'!M73</f>
        <v>370</v>
      </c>
      <c r="N75" s="35">
        <f>F75-'січень-2'!F73</f>
        <v>320.91</v>
      </c>
      <c r="O75" s="47">
        <f t="shared" si="16"/>
        <v>-49.089999999999975</v>
      </c>
      <c r="P75" s="50">
        <f t="shared" si="21"/>
        <v>86.73243243243243</v>
      </c>
      <c r="Q75" s="50">
        <f>N75-277.38</f>
        <v>43.53000000000003</v>
      </c>
      <c r="R75" s="126">
        <f>N75/277.38</f>
        <v>1.156932727666018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142.2</v>
      </c>
      <c r="G78" s="135">
        <f t="shared" si="12"/>
        <v>142.2</v>
      </c>
      <c r="H78" s="137"/>
      <c r="I78" s="136">
        <f t="shared" si="14"/>
        <v>142.2</v>
      </c>
      <c r="J78" s="136"/>
      <c r="K78" s="136">
        <f>F78-130.1</f>
        <v>12.099999999999994</v>
      </c>
      <c r="L78" s="138">
        <f>F78/130.1*100</f>
        <v>109.30053804765565</v>
      </c>
      <c r="M78" s="137">
        <f>E78-'січень-2'!M76</f>
        <v>0</v>
      </c>
      <c r="N78" s="137">
        <f>F78-'січень-2'!F76</f>
        <v>59.499999999999986</v>
      </c>
      <c r="O78" s="138">
        <f t="shared" si="16"/>
        <v>59.499999999999986</v>
      </c>
      <c r="P78" s="136"/>
      <c r="Q78" s="50">
        <f>N78-64.93</f>
        <v>-5.430000000000021</v>
      </c>
      <c r="R78" s="126">
        <f>N78/64.93</f>
        <v>0.9163714769752037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90773.27000000002</v>
      </c>
      <c r="G82" s="44">
        <f>F82-E82</f>
        <v>9580.770000000019</v>
      </c>
      <c r="H82" s="45">
        <f>F82/E82*100</f>
        <v>111.80006774024697</v>
      </c>
      <c r="I82" s="31">
        <f>F82-D82</f>
        <v>-439249.32999999996</v>
      </c>
      <c r="J82" s="31">
        <f>F82/D82*100</f>
        <v>17.126301784112606</v>
      </c>
      <c r="K82" s="31">
        <f>K8+K48+K80+K81</f>
        <v>16314.388000000004</v>
      </c>
      <c r="L82" s="31"/>
      <c r="M82" s="18">
        <f>M8+M48+M80+M81</f>
        <v>45098.799999999996</v>
      </c>
      <c r="N82" s="18">
        <f>N8+N48+N80+N81</f>
        <v>52034.75399999999</v>
      </c>
      <c r="O82" s="49">
        <f>N82-M82</f>
        <v>6935.953999999998</v>
      </c>
      <c r="P82" s="31">
        <f>N82/M82*100</f>
        <v>115.37946464207474</v>
      </c>
      <c r="Q82" s="31">
        <f>N82-34768</f>
        <v>17266.753999999994</v>
      </c>
      <c r="R82" s="171">
        <f>N82/34768</f>
        <v>1.496627761159687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F87-(-7.2)</f>
        <v>-7.45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396.3</v>
      </c>
      <c r="G91" s="43">
        <f t="shared" si="22"/>
        <v>40.322</v>
      </c>
      <c r="H91" s="35">
        <f t="shared" si="25"/>
        <v>111.32710448398497</v>
      </c>
      <c r="I91" s="53">
        <f t="shared" si="23"/>
        <v>-11179.7</v>
      </c>
      <c r="J91" s="53">
        <f t="shared" si="26"/>
        <v>3.423462335867312</v>
      </c>
      <c r="K91" s="53">
        <f>F91-1043.17</f>
        <v>-646.8700000000001</v>
      </c>
      <c r="L91" s="53">
        <f>F91/1043.17*100</f>
        <v>37.98997287115235</v>
      </c>
      <c r="M91" s="35">
        <f>E91-'січень-2'!E89</f>
        <v>96.28000000000003</v>
      </c>
      <c r="N91" s="35">
        <f>F91-'січень-2'!F89</f>
        <v>136.61</v>
      </c>
      <c r="O91" s="47">
        <f t="shared" si="24"/>
        <v>40.329999999999984</v>
      </c>
      <c r="P91" s="53">
        <f>N91/M91*100</f>
        <v>141.88824262567508</v>
      </c>
      <c r="Q91" s="53">
        <f>N91-450.01</f>
        <v>-313.4</v>
      </c>
      <c r="R91" s="129">
        <f>N91/450.01</f>
        <v>0.30357103175484995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394.78</v>
      </c>
      <c r="G93" s="55">
        <f t="shared" si="22"/>
        <v>-109.298</v>
      </c>
      <c r="H93" s="65">
        <f t="shared" si="25"/>
        <v>78.31724455342228</v>
      </c>
      <c r="I93" s="54">
        <f t="shared" si="23"/>
        <v>-16681.22</v>
      </c>
      <c r="J93" s="54">
        <f t="shared" si="26"/>
        <v>2.3118997423284138</v>
      </c>
      <c r="K93" s="54">
        <f>F93-1606.47</f>
        <v>-1211.69</v>
      </c>
      <c r="L93" s="54">
        <f>F93/1606.47*100</f>
        <v>24.574377361544254</v>
      </c>
      <c r="M93" s="55">
        <f>M90+M91+M92</f>
        <v>244.38000000000002</v>
      </c>
      <c r="N93" s="55">
        <f>N90+N91+N92</f>
        <v>151.10000000000002</v>
      </c>
      <c r="O93" s="54">
        <f t="shared" si="24"/>
        <v>-93.28</v>
      </c>
      <c r="P93" s="54">
        <f>N93/M93*100</f>
        <v>61.82993698338654</v>
      </c>
      <c r="Q93" s="54">
        <f>N93-7985.28</f>
        <v>-7834.179999999999</v>
      </c>
      <c r="R93" s="173">
        <f>N93/7985.28</f>
        <v>0.018922317063396654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0.37</v>
      </c>
      <c r="G97" s="43">
        <f>F97-E97</f>
        <v>0.37</v>
      </c>
      <c r="H97" s="35"/>
      <c r="I97" s="53">
        <f>F97-D97</f>
        <v>0.37</v>
      </c>
      <c r="J97" s="53"/>
      <c r="K97" s="53">
        <f>F97-(-0.23)</f>
        <v>0.6</v>
      </c>
      <c r="L97" s="53">
        <f>F97/(-0.23)*100</f>
        <v>-160.86956521739128</v>
      </c>
      <c r="M97" s="35">
        <f>E97-'січень-2'!E95</f>
        <v>0</v>
      </c>
      <c r="N97" s="35">
        <f>F97-'січень-2'!F95</f>
        <v>0.19999999999999998</v>
      </c>
      <c r="O97" s="47">
        <f>N97-M97</f>
        <v>0.19999999999999998</v>
      </c>
      <c r="P97" s="53"/>
      <c r="Q97" s="53">
        <f>N97-(-0.21)</f>
        <v>0.41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0.37</v>
      </c>
      <c r="G98" s="55">
        <f>F98-E98</f>
        <v>0.37</v>
      </c>
      <c r="H98" s="65"/>
      <c r="I98" s="54">
        <f>F98-D98</f>
        <v>-53.63</v>
      </c>
      <c r="J98" s="54">
        <f>F98/D98*100</f>
        <v>0.6851851851851852</v>
      </c>
      <c r="K98" s="54">
        <f>F98-8.69</f>
        <v>-8.32</v>
      </c>
      <c r="L98" s="54">
        <f>F98/8.69*100</f>
        <v>4.25776754890679</v>
      </c>
      <c r="M98" s="55">
        <f>M94+M97+M96</f>
        <v>0</v>
      </c>
      <c r="N98" s="55">
        <f>N94+N97+N96</f>
        <v>0.19999999999999998</v>
      </c>
      <c r="O98" s="54">
        <f>N98-M98</f>
        <v>0.19999999999999998</v>
      </c>
      <c r="P98" s="54"/>
      <c r="Q98" s="54">
        <f>N98-26.38</f>
        <v>-26.18</v>
      </c>
      <c r="R98" s="128">
        <f>N98/26.38</f>
        <v>0.0075815011372251705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0.59</v>
      </c>
      <c r="G99" s="43">
        <f>F99-E99</f>
        <v>-2</v>
      </c>
      <c r="H99" s="35">
        <f>F99/E99*100</f>
        <v>22.779922779922778</v>
      </c>
      <c r="I99" s="53">
        <f>F99-D99</f>
        <v>-41.41</v>
      </c>
      <c r="J99" s="53">
        <f>F99/D99*100</f>
        <v>1.4047619047619047</v>
      </c>
      <c r="K99" s="53">
        <f>F99-1.98</f>
        <v>-1.3900000000000001</v>
      </c>
      <c r="L99" s="53">
        <f>F99/1.98*100</f>
        <v>29.797979797979796</v>
      </c>
      <c r="M99" s="35">
        <f>E99-'січень-2'!E97</f>
        <v>2</v>
      </c>
      <c r="N99" s="35">
        <f>F99-'січень-2'!F97</f>
        <v>0</v>
      </c>
      <c r="O99" s="47">
        <f>N99-M99</f>
        <v>-2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381.09</v>
      </c>
      <c r="G100" s="44">
        <f>F100-E100</f>
        <v>-125.57799999999997</v>
      </c>
      <c r="H100" s="45">
        <f>F100/E100*100</f>
        <v>75.21493364491147</v>
      </c>
      <c r="I100" s="31">
        <f>F100-D100</f>
        <v>-16790.91</v>
      </c>
      <c r="J100" s="31">
        <f>F100/D100*100</f>
        <v>2.219252271139063</v>
      </c>
      <c r="K100" s="31">
        <f>K88+K93+K98+K99</f>
        <v>-1228.9</v>
      </c>
      <c r="L100" s="31"/>
      <c r="M100" s="27">
        <f>M88+M99+M93+M98</f>
        <v>246.38000000000002</v>
      </c>
      <c r="N100" s="27">
        <f>N88+N99+N93+N98</f>
        <v>132.25</v>
      </c>
      <c r="O100" s="31">
        <f>N100-M100</f>
        <v>-114.13000000000002</v>
      </c>
      <c r="P100" s="31">
        <f>N100/M100*100</f>
        <v>53.67724652975079</v>
      </c>
      <c r="Q100" s="31">
        <f>N100-8104.96</f>
        <v>-7972.71</v>
      </c>
      <c r="R100" s="127">
        <f>N100/8104.96</f>
        <v>0.0163171687460518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91154.36000000002</v>
      </c>
      <c r="G101" s="44">
        <f>F101-E101</f>
        <v>9455.19200000001</v>
      </c>
      <c r="H101" s="45">
        <f>F101/E101*100</f>
        <v>111.57318028012233</v>
      </c>
      <c r="I101" s="31">
        <f>F101-D101</f>
        <v>-456040.24</v>
      </c>
      <c r="J101" s="31">
        <f>F101/D101*100</f>
        <v>16.658490416389345</v>
      </c>
      <c r="K101" s="31">
        <f>K82+K100</f>
        <v>15085.488000000005</v>
      </c>
      <c r="L101" s="31"/>
      <c r="M101" s="18">
        <f>M82+M100</f>
        <v>45345.17999999999</v>
      </c>
      <c r="N101" s="18">
        <f>N82+N100</f>
        <v>52167.00399999999</v>
      </c>
      <c r="O101" s="31">
        <f>N101-M101</f>
        <v>6821.8240000000005</v>
      </c>
      <c r="P101" s="31">
        <f>N101/M101*100</f>
        <v>115.04420977047616</v>
      </c>
      <c r="Q101" s="31">
        <f>N101-42872.96</f>
        <v>9294.043999999994</v>
      </c>
      <c r="R101" s="127">
        <f>N101/42872.96</f>
        <v>1.2167810200182119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42061</v>
      </c>
      <c r="D105" s="34">
        <v>6003.3</v>
      </c>
      <c r="N105" s="190"/>
      <c r="O105" s="190"/>
    </row>
    <row r="106" spans="3:15" ht="15.75">
      <c r="C106" s="111">
        <v>42060</v>
      </c>
      <c r="D106" s="34">
        <v>1551.3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42059</v>
      </c>
      <c r="D107" s="34">
        <v>1936.1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117404.35459</v>
      </c>
      <c r="E109" s="73"/>
      <c r="F109" s="156" t="s">
        <v>147</v>
      </c>
      <c r="G109" s="187" t="s">
        <v>149</v>
      </c>
      <c r="H109" s="187"/>
      <c r="I109" s="107">
        <v>108494.62238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2015-02-27T10:00:32Z</cp:lastPrinted>
  <dcterms:created xsi:type="dcterms:W3CDTF">2003-07-28T11:27:56Z</dcterms:created>
  <dcterms:modified xsi:type="dcterms:W3CDTF">2015-02-27T10:32:56Z</dcterms:modified>
  <cp:category/>
  <cp:version/>
  <cp:contentType/>
  <cp:contentStatus/>
</cp:coreProperties>
</file>